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<sst xmlns="http://schemas.openxmlformats.org/spreadsheetml/2006/main" count="155" uniqueCount="52">
  <si>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 xml:space="preserve">Vollkluppierung Weiserfläche</t>
  </si>
  <si>
    <t xml:space="preserve">Flächenname</t>
  </si>
  <si>
    <t xml:space="preserve">Weiserfläche Bäumliwald, Thusis</t>
  </si>
  <si>
    <t xml:space="preserve">Datum</t>
  </si>
  <si>
    <t xml:space="preserve">14.10.2014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</si>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</sst>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s">
        <v>4</v>
      </c>
    </row>
    <row r="5" customFormat="false" ht="15.75" hidden="false" customHeight="false" outlineLevel="0" collapsed="false">
      <c r="A5" s="3" t="s">
        <v>5</v>
      </c>
      <c r="B5" s="4"/>
    </row>
    <row r="6" customFormat="false" ht="15.75" hidden="false" customHeight="false" outlineLevel="0" collapsed="false">
      <c r="A6" s="3" t="s">
        <v>6</v>
      </c>
      <c r="B6" s="6" t="n">
        <v>0.7</v>
      </c>
      <c r="C6" s="3" t="s">
        <v>7</v>
      </c>
    </row>
    <row r="8" customFormat="false" ht="51" hidden="false" customHeight="true" outlineLevel="0" collapsed="false">
      <c r="A8" s="7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8" t="s">
        <v>20</v>
      </c>
      <c r="N8" s="8" t="s">
        <v>21</v>
      </c>
      <c r="O8" s="8" t="s">
        <v>22</v>
      </c>
      <c r="P8" s="8" t="s">
        <v>23</v>
      </c>
      <c r="Q8" s="8" t="s">
        <v>24</v>
      </c>
      <c r="R8" s="8" t="s">
        <v>25</v>
      </c>
      <c r="S8" s="8" t="s">
        <v>26</v>
      </c>
    </row>
    <row r="9" customFormat="false" ht="15.75" hidden="false" customHeight="false" outlineLevel="0" collapsed="false">
      <c r="A9" s="9" t="n">
        <v>18</v>
      </c>
      <c r="B9" s="9" t="n">
        <v>0.17</v>
      </c>
      <c r="C9" s="9" t="n">
        <v>19</v>
      </c>
      <c r="D9" s="9" t="n"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0.27</v>
      </c>
      <c r="C10" s="10" t="n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0.41</v>
      </c>
      <c r="C11" s="10" t="n">
        <v>11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0.58</v>
      </c>
      <c r="C12" s="10" t="n">
        <v>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0.78</v>
      </c>
      <c r="C13" s="10" t="n">
        <v>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1.01</v>
      </c>
      <c r="C14" s="10" t="n">
        <v>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1.26</v>
      </c>
      <c r="C15" s="10" t="n">
        <v>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1.53</v>
      </c>
      <c r="C16" s="10" t="n">
        <v>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1.81</v>
      </c>
      <c r="C17" s="10" t="n">
        <v>13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2.1</v>
      </c>
      <c r="C18" s="10" t="n">
        <v>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2.41</v>
      </c>
      <c r="C19" s="10" t="n">
        <v>12</v>
      </c>
      <c r="D19" s="10"/>
      <c r="E19" s="10" t="n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2.73</v>
      </c>
      <c r="C20" s="10" t="n">
        <v>7</v>
      </c>
      <c r="D20" s="10"/>
      <c r="E20" s="10" t="n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3.06</v>
      </c>
      <c r="C21" s="10" t="n">
        <v>5</v>
      </c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3.4</v>
      </c>
      <c r="C22" s="10" t="n">
        <v>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3.75</v>
      </c>
      <c r="C23" s="10" t="n">
        <v>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4.11</v>
      </c>
      <c r="C24" s="10" t="n">
        <v>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4.48</v>
      </c>
      <c r="C25" s="10" t="n">
        <v>2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4.86</v>
      </c>
      <c r="C26" s="10" t="n">
        <v>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5.25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5.65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10</v>
      </c>
      <c r="D53" s="13" t="s">
        <v>11</v>
      </c>
      <c r="E53" s="13" t="s">
        <v>12</v>
      </c>
      <c r="F53" s="13" t="s">
        <v>13</v>
      </c>
      <c r="G53" s="13" t="s">
        <v>14</v>
      </c>
      <c r="H53" s="13" t="s">
        <v>15</v>
      </c>
      <c r="I53" s="13" t="s">
        <v>16</v>
      </c>
      <c r="J53" s="13" t="s">
        <v>17</v>
      </c>
      <c r="K53" s="13" t="s">
        <v>18</v>
      </c>
      <c r="L53" s="13" t="s">
        <v>19</v>
      </c>
      <c r="M53" s="13" t="s">
        <v>20</v>
      </c>
      <c r="N53" s="13" t="s">
        <v>21</v>
      </c>
      <c r="O53" s="13" t="s">
        <v>22</v>
      </c>
      <c r="P53" s="13" t="s">
        <v>23</v>
      </c>
      <c r="Q53" s="13" t="s">
        <v>24</v>
      </c>
      <c r="R53" s="13" t="s">
        <v>25</v>
      </c>
      <c r="S53" s="13" t="s">
        <v>26</v>
      </c>
      <c r="T53" s="14" t="s">
        <v>27</v>
      </c>
      <c r="U53" s="15" t="s">
        <v>28</v>
      </c>
    </row>
    <row r="54" customFormat="false" ht="15.75" hidden="false" customHeight="false" outlineLevel="0" collapsed="false">
      <c r="A54" s="3" t="s">
        <v>29</v>
      </c>
      <c r="B54" s="3" t="s">
        <v>30</v>
      </c>
      <c r="C54" s="1" t="n">
        <f aca="false">SUM(C9:C51)</f>
        <v>137</v>
      </c>
      <c r="D54" s="1" t="n">
        <f aca="false">SUM(D9:D51)</f>
        <v>1</v>
      </c>
      <c r="E54" s="1" t="n">
        <f aca="false">SUM(E9:E51)</f>
        <v>3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141</v>
      </c>
      <c r="U54" s="3" t="s">
        <v>31</v>
      </c>
    </row>
    <row r="55" customFormat="false" ht="15.75" hidden="false" customHeight="false" outlineLevel="0" collapsed="false">
      <c r="A55" s="15"/>
      <c r="B55" s="15" t="s">
        <v>32</v>
      </c>
      <c r="C55" s="16" t="n">
        <f aca="false">ROUND(C54/$B$6, 1)</f>
        <v>195.7</v>
      </c>
      <c r="D55" s="16" t="n">
        <f aca="false">ROUND(D54/$B$6, 1)</f>
        <v>1.4</v>
      </c>
      <c r="E55" s="16" t="n">
        <f aca="false">ROUND(E54/$B$6, 1)</f>
        <v>4.3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201</v>
      </c>
      <c r="U55" s="15" t="s">
        <v>33</v>
      </c>
    </row>
    <row r="56" customFormat="false" ht="18.75" hidden="false" customHeight="true" outlineLevel="0" collapsed="false">
      <c r="A56" s="3" t="s">
        <v>34</v>
      </c>
      <c r="B56" s="3" t="s">
        <v>30</v>
      </c>
      <c r="C56" s="18" t="n">
        <f aca="false">ROUND('Berechnungen Grundflaeche'!C53, 2)</f>
        <v>23.46</v>
      </c>
      <c r="D56" s="18" t="n">
        <f aca="false">ROUND('Berechnungen Grundflaeche'!D53, 2)</f>
        <v>0.03</v>
      </c>
      <c r="E56" s="18" t="n">
        <f aca="false">ROUND('Berechnungen Grundflaeche'!E53, 2)</f>
        <v>0.91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24.4</v>
      </c>
      <c r="U56" s="3" t="s">
        <v>35</v>
      </c>
    </row>
    <row r="57" customFormat="false" ht="18.75" hidden="false" customHeight="true" outlineLevel="0" collapsed="false">
      <c r="A57" s="3"/>
      <c r="B57" s="3" t="s">
        <v>32</v>
      </c>
      <c r="C57" s="18" t="n">
        <f aca="false">ROUND('Berechnungen Grundflaeche'!C54, 2)</f>
        <v>33.52</v>
      </c>
      <c r="D57" s="18" t="n">
        <f aca="false">ROUND('Berechnungen Grundflaeche'!D54, 2)</f>
        <v>0.04</v>
      </c>
      <c r="E57" s="18" t="n">
        <f aca="false">ROUND('Berechnungen Grundflaeche'!E54, 2)</f>
        <v>1.3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34.9</v>
      </c>
      <c r="U57" s="3" t="s">
        <v>36</v>
      </c>
    </row>
    <row r="58" customFormat="false" ht="15.75" hidden="false" customHeight="false" outlineLevel="0" collapsed="false">
      <c r="A58" s="15"/>
      <c r="B58" s="15" t="s">
        <v>37</v>
      </c>
      <c r="C58" s="20" t="n">
        <f aca="false">ROUND(100 * 'Berechnungen Grundflaeche'!C55,0)</f>
        <v>96</v>
      </c>
      <c r="D58" s="20" t="n">
        <f aca="false">ROUND(100 * 'Berechnungen Grundflaeche'!D55,0)</f>
        <v>0</v>
      </c>
      <c r="E58" s="20" t="n">
        <f aca="false">ROUND(100 * 'Berechnungen Grundflaeche'!E55,0)</f>
        <v>4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38</v>
      </c>
    </row>
    <row r="59" customFormat="false" ht="15.75" hidden="false" customHeight="false" outlineLevel="0" collapsed="false">
      <c r="A59" s="3" t="s">
        <v>39</v>
      </c>
      <c r="B59" s="3" t="s">
        <v>30</v>
      </c>
      <c r="C59" s="22" t="n">
        <f aca="false">ROUND('Berechnungen Vorrat'!C53, 1)</f>
        <v>312.7</v>
      </c>
      <c r="D59" s="22" t="n">
        <f aca="false">ROUND('Berechnungen Vorrat'!D53, 1)</f>
        <v>0.2</v>
      </c>
      <c r="E59" s="22" t="n">
        <f aca="false">ROUND('Berechnungen Vorrat'!E53, 1)</f>
        <v>12.6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325</v>
      </c>
      <c r="U59" s="3" t="s">
        <v>40</v>
      </c>
    </row>
    <row r="60" customFormat="false" ht="15.75" hidden="false" customHeight="false" outlineLevel="0" collapsed="false">
      <c r="A60" s="3"/>
      <c r="B60" s="3" t="s">
        <v>32</v>
      </c>
      <c r="C60" s="22" t="n">
        <f aca="false">ROUND('Berechnungen Vorrat'!C54, 1)</f>
        <v>446.7</v>
      </c>
      <c r="D60" s="22" t="n">
        <f aca="false">ROUND('Berechnungen Vorrat'!D54, 1)</f>
        <v>0.2</v>
      </c>
      <c r="E60" s="22" t="n">
        <f aca="false">ROUND('Berechnungen Vorrat'!E54, 1)</f>
        <v>18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465</v>
      </c>
      <c r="U60" s="3" t="s">
        <v>41</v>
      </c>
    </row>
    <row r="61" customFormat="false" ht="15.75" hidden="false" customHeight="false" outlineLevel="0" collapsed="false">
      <c r="A61" s="15"/>
      <c r="B61" s="15" t="s">
        <v>37</v>
      </c>
      <c r="C61" s="20" t="n">
        <f aca="false">ROUND(100 * 'Berechnungen Vorrat'!C55, 0)</f>
        <v>96</v>
      </c>
      <c r="D61" s="20" t="n">
        <f aca="false">ROUND(100 * 'Berechnungen Vorrat'!D55, 0)</f>
        <v>0</v>
      </c>
      <c r="E61" s="20" t="n">
        <f aca="false">ROUND(100 * 'Berechnungen Vorrat'!E55, 0)</f>
        <v>4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42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43</v>
      </c>
    </row>
    <row r="2" customFormat="false" ht="15.75" hidden="false" customHeight="false" outlineLevel="0" collapsed="false">
      <c r="A2" s="25" t="s">
        <v>44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5</v>
      </c>
    </row>
    <row r="6" customFormat="false" ht="15.75" hidden="false" customHeight="false" outlineLevel="0" collapsed="false">
      <c r="A6" s="26" t="s">
        <v>6</v>
      </c>
      <c r="B6" s="27" t="n">
        <f aca="false">Kluppierungsprotokoll!B6</f>
        <v>0.7</v>
      </c>
      <c r="C6" s="26" t="s">
        <v>7</v>
      </c>
    </row>
    <row r="8" customFormat="false" ht="51" hidden="false" customHeight="true" outlineLevel="0" collapsed="false">
      <c r="A8" s="28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29" t="s">
        <v>21</v>
      </c>
      <c r="O8" s="29" t="s">
        <v>22</v>
      </c>
      <c r="P8" s="29" t="s">
        <v>23</v>
      </c>
      <c r="Q8" s="29" t="s">
        <v>24</v>
      </c>
      <c r="R8" s="29" t="s">
        <v>25</v>
      </c>
      <c r="S8" s="29" t="s">
        <v>26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Kluppierungsprotokoll!C9/$B$6</f>
        <v>27.1428571428571</v>
      </c>
      <c r="D9" s="9" t="n">
        <f aca="false">Kluppierungsprotokoll!D9/$B$6</f>
        <v>1.42857142857143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Kluppierungsprotokoll!C10/$B$6</f>
        <v>20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Kluppierungsprotokoll!C11/$B$6</f>
        <v>15.7142857142857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Kluppierungsprotokoll!C12/$B$6</f>
        <v>12.8571428571429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Kluppierungsprotokoll!C13/$B$6</f>
        <v>12.8571428571429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Kluppierungsprotokoll!C14/$B$6</f>
        <v>8.57142857142857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Kluppierungsprotokoll!C15/$B$6</f>
        <v>5.71428571428571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Kluppierungsprotokoll!C16/$B$6</f>
        <v>8.57142857142857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Kluppierungsprotokoll!C17/$B$6</f>
        <v>18.5714285714286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Kluppierungsprotokoll!C18/$B$6</f>
        <v>7.14285714285714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Kluppierungsprotokoll!C19/$B$6</f>
        <v>17.1428571428571</v>
      </c>
      <c r="D19" s="10" t="n">
        <f aca="false">Kluppierungsprotokoll!D19/$B$6</f>
        <v>0</v>
      </c>
      <c r="E19" s="10" t="n">
        <f aca="false">Kluppierungsprotokoll!E19/$B$6</f>
        <v>1.42857142857143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Kluppierungsprotokoll!C20/$B$6</f>
        <v>10</v>
      </c>
      <c r="D20" s="10" t="n">
        <f aca="false">Kluppierungsprotokoll!D20/$B$6</f>
        <v>0</v>
      </c>
      <c r="E20" s="10" t="n">
        <f aca="false">Kluppierungsprotokoll!E20/$B$6</f>
        <v>1.42857142857143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Kluppierungsprotokoll!C21/$B$6</f>
        <v>7.14285714285714</v>
      </c>
      <c r="D21" s="10" t="n">
        <f aca="false">Kluppierungsprotokoll!D21/$B$6</f>
        <v>0</v>
      </c>
      <c r="E21" s="10" t="n">
        <f aca="false">Kluppierungsprotokoll!E21/$B$6</f>
        <v>1.42857142857143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Kluppierungsprotokoll!C22/$B$6</f>
        <v>10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Kluppierungsprotokoll!C23/$B$6</f>
        <v>5.71428571428571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Kluppierungsprotokoll!C24/$B$6</f>
        <v>4.28571428571429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Kluppierungsprotokoll!C25/$B$6</f>
        <v>2.85714285714286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Kluppierungsprotokoll!C26/$B$6</f>
        <v>1.42857142857143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5.25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5.65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45</v>
      </c>
    </row>
    <row r="2" customFormat="false" ht="15.75" hidden="false" customHeight="false" outlineLevel="0" collapsed="false">
      <c r="A2" s="25" t="s">
        <v>46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5</v>
      </c>
    </row>
    <row r="6" customFormat="false" ht="15.75" hidden="false" customHeight="false" outlineLevel="0" collapsed="false">
      <c r="A6" s="26" t="s">
        <v>6</v>
      </c>
      <c r="B6" s="27" t="n">
        <f aca="false">Kluppierungsprotokoll!B6</f>
        <v>0.7</v>
      </c>
      <c r="C6" s="26" t="s">
        <v>7</v>
      </c>
    </row>
    <row r="8" customFormat="false" ht="51" hidden="false" customHeight="true" outlineLevel="0" collapsed="false">
      <c r="A8" s="28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29" t="s">
        <v>21</v>
      </c>
      <c r="O8" s="29" t="s">
        <v>22</v>
      </c>
      <c r="P8" s="29" t="s">
        <v>23</v>
      </c>
      <c r="Q8" s="29" t="s">
        <v>24</v>
      </c>
      <c r="R8" s="29" t="s">
        <v>25</v>
      </c>
      <c r="S8" s="29" t="s">
        <v>26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Kluppierungsprotokoll!C9*($A9/200)^2*PI()</f>
        <v>0.483491109387469</v>
      </c>
      <c r="D9" s="9" t="n">
        <f aca="false">Kluppierungsprotokoll!D9*($A9/200)^2*PI()</f>
        <v>0.0254469004940773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Kluppierungsprotokoll!C10*($A10/200)^2*PI()</f>
        <v>0.532185795518111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Kluppierungsprotokoll!C11*($A11/200)^2*PI()</f>
        <v>0.584022074302343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Kluppierungsprotokoll!C12*($A12/200)^2*PI()</f>
        <v>0.636172512351933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Kluppierungsprotokoll!C13*($A13/200)^2*PI()</f>
        <v>0.817128249198705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Kluppierungsprotokoll!C14*($A14/200)^2*PI()</f>
        <v>0.680468968767549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Kluppierungsprotokoll!C15*($A15/200)^2*PI()</f>
        <v>0.55417694409324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Kluppierungsprotokoll!C16*($A16/200)^2*PI()</f>
        <v>0.9971415082494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Kluppierungsprotokoll!C17*($A17/200)^2*PI()</f>
        <v>2.55254403104171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Kluppierungsprotokoll!C18*($A18/200)^2*PI()</f>
        <v>1.14511052223348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Kluppierungsprotokoll!C19*($A19/200)^2*PI()</f>
        <v>3.17049530600282</v>
      </c>
      <c r="D19" s="10" t="n">
        <f aca="false">Kluppierungsprotokoll!D19*($A19/200)^2*PI()</f>
        <v>0</v>
      </c>
      <c r="E19" s="10" t="n">
        <f aca="false">Kluppierungsprotokoll!E19*($A19/200)^2*PI()</f>
        <v>0.264207942166902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Kluppierungsprotokoll!C20*($A20/200)^2*PI()</f>
        <v>2.11334937806985</v>
      </c>
      <c r="D20" s="10" t="n">
        <f aca="false">Kluppierungsprotokoll!D20*($A20/200)^2*PI()</f>
        <v>0</v>
      </c>
      <c r="E20" s="10" t="n">
        <f aca="false">Kluppierungsprotokoll!E20*($A20/200)^2*PI()</f>
        <v>0.301907054009979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Kluppierungsprotokoll!C21*($A21/200)^2*PI()</f>
        <v>1.71059719987964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Kluppierungsprotokoll!C22*($A22/200)^2*PI()</f>
        <v>2.69391570045325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Kluppierungsprotokoll!C23*($A23/200)^2*PI()</f>
        <v>1.72033613710577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Kluppierungsprotokoll!C24*($A24/200)^2*PI()</f>
        <v>1.43350872783302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Kluppierungsprotokoll!C25*($A25/200)^2*PI()</f>
        <v>1.05620345013689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Kluppierungsprotokoll!C26*($A26/200)^2*PI()</f>
        <v>0.580880481648753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5.25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5.65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47</v>
      </c>
      <c r="B53" s="0" t="s">
        <v>30</v>
      </c>
      <c r="C53" s="0" t="n">
        <f aca="false">SUM(C9:C51)</f>
        <v>23.4617280962739</v>
      </c>
      <c r="D53" s="0" t="n">
        <f aca="false">SUM(D9:D51)</f>
        <v>0.0254469004940773</v>
      </c>
      <c r="E53" s="0" t="n">
        <f aca="false">SUM(E9:E51)</f>
        <v>0.908234436152809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24.3954094329208</v>
      </c>
    </row>
    <row r="54" customFormat="false" ht="15.75" hidden="false" customHeight="false" outlineLevel="0" collapsed="false">
      <c r="A54" s="0" t="s">
        <v>47</v>
      </c>
      <c r="B54" s="0" t="s">
        <v>32</v>
      </c>
      <c r="C54" s="0" t="n">
        <f aca="false">C53/$B$6</f>
        <v>33.5167544232485</v>
      </c>
      <c r="D54" s="0" t="n">
        <f aca="false">D53/$B$6</f>
        <v>0.036352714991539</v>
      </c>
      <c r="E54" s="0" t="n">
        <f aca="false">E53/$B$6</f>
        <v>1.29747776593259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34.8505849041726</v>
      </c>
    </row>
    <row r="55" customFormat="false" ht="15.75" hidden="false" customHeight="false" outlineLevel="0" collapsed="false">
      <c r="A55" s="0" t="s">
        <v>47</v>
      </c>
      <c r="B55" s="0" t="s">
        <v>48</v>
      </c>
      <c r="C55" s="0" t="n">
        <f aca="false">C54/$T54</f>
        <v>0.961727170875562</v>
      </c>
      <c r="D55" s="0" t="n">
        <f aca="false">D54/$T54</f>
        <v>0.00104310200507385</v>
      </c>
      <c r="E55" s="0" t="n">
        <f aca="false">E54/$T54</f>
        <v>0.0372297271193644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49</v>
      </c>
    </row>
    <row r="2" customFormat="false" ht="15.75" hidden="false" customHeight="false" outlineLevel="0" collapsed="false">
      <c r="A2" s="25" t="s">
        <v>50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5</v>
      </c>
    </row>
    <row r="6" customFormat="false" ht="15.75" hidden="false" customHeight="false" outlineLevel="0" collapsed="false">
      <c r="A6" s="26" t="s">
        <v>6</v>
      </c>
      <c r="B6" s="27" t="n">
        <f aca="false">Kluppierungsprotokoll!B6</f>
        <v>0.7</v>
      </c>
      <c r="C6" s="26" t="s">
        <v>7</v>
      </c>
    </row>
    <row r="8" customFormat="false" ht="51" hidden="false" customHeight="true" outlineLevel="0" collapsed="false">
      <c r="A8" s="28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29" t="s">
        <v>21</v>
      </c>
      <c r="O8" s="29" t="s">
        <v>22</v>
      </c>
      <c r="P8" s="29" t="s">
        <v>23</v>
      </c>
      <c r="Q8" s="29" t="s">
        <v>24</v>
      </c>
      <c r="R8" s="29" t="s">
        <v>25</v>
      </c>
      <c r="S8" s="29" t="s">
        <v>26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0.17</v>
      </c>
      <c r="C9" s="9" t="n">
        <f aca="false">Kluppierungsprotokoll!C9*0.23</f>
        <v>4.37</v>
      </c>
      <c r="D9" s="9" t="n">
        <f aca="false">Kluppierungsprotokoll!D9*0.17</f>
        <v>0.17</v>
      </c>
      <c r="E9" s="9" t="n">
        <f aca="false">Kluppierungsprotokoll!E9*0.23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0.27</v>
      </c>
      <c r="C10" s="10" t="n">
        <f aca="false">Kluppierungsprotokoll!C10*0.38</f>
        <v>5.32</v>
      </c>
      <c r="D10" s="10" t="n">
        <f aca="false">Kluppierungsprotokoll!D10*0.27</f>
        <v>0</v>
      </c>
      <c r="E10" s="10" t="n">
        <f aca="false">Kluppierungsprotokoll!E10*0.38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0.41</v>
      </c>
      <c r="C11" s="10" t="n">
        <f aca="false">Kluppierungsprotokoll!C11*0.58</f>
        <v>6.38</v>
      </c>
      <c r="D11" s="10" t="n">
        <f aca="false">Kluppierungsprotokoll!D11*0.41</f>
        <v>0</v>
      </c>
      <c r="E11" s="10" t="n">
        <f aca="false">Kluppierungsprotokoll!E11*0.58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0.58</v>
      </c>
      <c r="C12" s="10" t="n">
        <f aca="false">Kluppierungsprotokoll!C12*0.83</f>
        <v>7.47</v>
      </c>
      <c r="D12" s="10" t="n">
        <f aca="false">Kluppierungsprotokoll!D12*0.58</f>
        <v>0</v>
      </c>
      <c r="E12" s="10" t="n">
        <f aca="false">Kluppierungsprotokoll!E12*0.83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0.78</v>
      </c>
      <c r="C13" s="10" t="n">
        <f aca="false">Kluppierungsprotokoll!C13*1.13</f>
        <v>10.17</v>
      </c>
      <c r="D13" s="10" t="n">
        <f aca="false">Kluppierungsprotokoll!D13*0.78</f>
        <v>0</v>
      </c>
      <c r="E13" s="10" t="n">
        <f aca="false">Kluppierungsprotokoll!E13*1.13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1.01</v>
      </c>
      <c r="C14" s="10" t="n">
        <f aca="false">Kluppierungsprotokoll!C14*1.48</f>
        <v>8.88</v>
      </c>
      <c r="D14" s="10" t="n">
        <f aca="false">Kluppierungsprotokoll!D14*1.01</f>
        <v>0</v>
      </c>
      <c r="E14" s="10" t="n">
        <f aca="false">Kluppierungsprotokoll!E14*1.48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1.26</v>
      </c>
      <c r="C15" s="10" t="n">
        <f aca="false">Kluppierungsprotokoll!C15*1.87</f>
        <v>7.48</v>
      </c>
      <c r="D15" s="10" t="n">
        <f aca="false">Kluppierungsprotokoll!D15*1.26</f>
        <v>0</v>
      </c>
      <c r="E15" s="10" t="n">
        <f aca="false">Kluppierungsprotokoll!E15*1.87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1.53</v>
      </c>
      <c r="C16" s="10" t="n">
        <f aca="false">Kluppierungsprotokoll!C16*2.29</f>
        <v>13.74</v>
      </c>
      <c r="D16" s="10" t="n">
        <f aca="false">Kluppierungsprotokoll!D16*1.53</f>
        <v>0</v>
      </c>
      <c r="E16" s="10" t="n">
        <f aca="false">Kluppierungsprotokoll!E16*2.29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1.81</v>
      </c>
      <c r="C17" s="10" t="n">
        <f aca="false">Kluppierungsprotokoll!C17*2.74</f>
        <v>35.62</v>
      </c>
      <c r="D17" s="10" t="n">
        <f aca="false">Kluppierungsprotokoll!D17*1.81</f>
        <v>0</v>
      </c>
      <c r="E17" s="10" t="n">
        <f aca="false">Kluppierungsprotokoll!E17*2.74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2.1</v>
      </c>
      <c r="C18" s="10" t="n">
        <f aca="false">Kluppierungsprotokoll!C18*3.21</f>
        <v>16.05</v>
      </c>
      <c r="D18" s="10" t="n">
        <f aca="false">Kluppierungsprotokoll!D18*2.1</f>
        <v>0</v>
      </c>
      <c r="E18" s="10" t="n">
        <f aca="false">Kluppierungsprotokoll!E18*3.21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2.41</v>
      </c>
      <c r="C19" s="10" t="n">
        <f aca="false">Kluppierungsprotokoll!C19*3.7</f>
        <v>44.4</v>
      </c>
      <c r="D19" s="10" t="n">
        <f aca="false">Kluppierungsprotokoll!D19*2.41</f>
        <v>0</v>
      </c>
      <c r="E19" s="10" t="n">
        <f aca="false">Kluppierungsprotokoll!E19*3.7</f>
        <v>3.7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2.73</v>
      </c>
      <c r="C20" s="10" t="n">
        <f aca="false">Kluppierungsprotokoll!C20*4.2</f>
        <v>29.4</v>
      </c>
      <c r="D20" s="10" t="n">
        <f aca="false">Kluppierungsprotokoll!D20*2.73</f>
        <v>0</v>
      </c>
      <c r="E20" s="10" t="n">
        <f aca="false">Kluppierungsprotokoll!E20*4.2</f>
        <v>4.2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3.06</v>
      </c>
      <c r="C21" s="10" t="n">
        <f aca="false">Kluppierungsprotokoll!C21*4.71</f>
        <v>23.55</v>
      </c>
      <c r="D21" s="10" t="n">
        <f aca="false">Kluppierungsprotokoll!D21*3.06</f>
        <v>0</v>
      </c>
      <c r="E21" s="10" t="n">
        <f aca="false">Kluppierungsprotokoll!E21*4.71</f>
        <v>4.71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3.4</v>
      </c>
      <c r="C22" s="10" t="n">
        <f aca="false">Kluppierungsprotokoll!C22*5.23</f>
        <v>36.61</v>
      </c>
      <c r="D22" s="10" t="n">
        <f aca="false">Kluppierungsprotokoll!D22*3.4</f>
        <v>0</v>
      </c>
      <c r="E22" s="10" t="n">
        <f aca="false">Kluppierungsprotokoll!E22*5.23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3.75</v>
      </c>
      <c r="C23" s="10" t="n">
        <f aca="false">Kluppierungsprotokoll!C23*5.76</f>
        <v>23.04</v>
      </c>
      <c r="D23" s="10" t="n">
        <f aca="false">Kluppierungsprotokoll!D23*3.75</f>
        <v>0</v>
      </c>
      <c r="E23" s="10" t="n">
        <f aca="false">Kluppierungsprotokoll!E23*5.76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4.11</v>
      </c>
      <c r="C24" s="10" t="n">
        <f aca="false">Kluppierungsprotokoll!C24*6.31</f>
        <v>18.93</v>
      </c>
      <c r="D24" s="10" t="n">
        <f aca="false">Kluppierungsprotokoll!D24*4.11</f>
        <v>0</v>
      </c>
      <c r="E24" s="10" t="n">
        <f aca="false">Kluppierungsprotokoll!E24*6.31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4.48</v>
      </c>
      <c r="C25" s="10" t="n">
        <f aca="false">Kluppierungsprotokoll!C25*6.89</f>
        <v>13.78</v>
      </c>
      <c r="D25" s="10" t="n">
        <f aca="false">Kluppierungsprotokoll!D25*4.48</f>
        <v>0</v>
      </c>
      <c r="E25" s="10" t="n">
        <f aca="false">Kluppierungsprotokoll!E25*6.89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4.86</v>
      </c>
      <c r="C26" s="10" t="n">
        <f aca="false">Kluppierungsprotokoll!C26*7.5</f>
        <v>7.5</v>
      </c>
      <c r="D26" s="10" t="n">
        <f aca="false">Kluppierungsprotokoll!D26*4.86</f>
        <v>0</v>
      </c>
      <c r="E26" s="10" t="n">
        <f aca="false">Kluppierungsprotokoll!E26*7.5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5.25</v>
      </c>
      <c r="C27" s="10" t="n">
        <f aca="false">Kluppierungsprotokoll!C27*8.14</f>
        <v>0</v>
      </c>
      <c r="D27" s="10" t="n">
        <f aca="false">Kluppierungsprotokoll!D27*5.25</f>
        <v>0</v>
      </c>
      <c r="E27" s="10" t="n">
        <f aca="false">Kluppierungsprotokoll!E27*8.14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5.65</v>
      </c>
      <c r="C28" s="10" t="n">
        <f aca="false">Kluppierungsprotokoll!C28*8.81</f>
        <v>0</v>
      </c>
      <c r="D28" s="10" t="n">
        <f aca="false">Kluppierungsprotokoll!D28*5.65</f>
        <v>0</v>
      </c>
      <c r="E28" s="10" t="n">
        <f aca="false">Kluppierungsprotokoll!E28*8.81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51</v>
      </c>
      <c r="B53" s="0" t="s">
        <v>30</v>
      </c>
      <c r="C53" s="0" t="n">
        <f aca="false">SUM(C9:C51)</f>
        <v>312.69</v>
      </c>
      <c r="D53" s="0" t="n">
        <f aca="false">SUM(D9:D51)</f>
        <v>0.17</v>
      </c>
      <c r="E53" s="0" t="n">
        <f aca="false">SUM(E9:E51)</f>
        <v>12.61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325.47</v>
      </c>
    </row>
    <row r="54" customFormat="false" ht="15.75" hidden="false" customHeight="false" outlineLevel="0" collapsed="false">
      <c r="A54" s="0" t="s">
        <v>51</v>
      </c>
      <c r="B54" s="0" t="s">
        <v>32</v>
      </c>
      <c r="C54" s="0" t="n">
        <f aca="false">C53/$B$6</f>
        <v>446.7</v>
      </c>
      <c r="D54" s="0" t="n">
        <f aca="false">D53/$B$6</f>
        <v>0.242857142857143</v>
      </c>
      <c r="E54" s="0" t="n">
        <f aca="false">E53/$B$6</f>
        <v>18.0142857142857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464.957142857143</v>
      </c>
    </row>
    <row r="55" customFormat="false" ht="15.75" hidden="false" customHeight="false" outlineLevel="0" collapsed="false">
      <c r="A55" s="0" t="s">
        <v>51</v>
      </c>
      <c r="B55" s="0" t="s">
        <v>48</v>
      </c>
      <c r="C55" s="0" t="n">
        <f aca="false">C54/$T54</f>
        <v>0.960733708175869</v>
      </c>
      <c r="D55" s="0" t="n">
        <f aca="false">D54/$T54</f>
        <v>0.000522321565735705</v>
      </c>
      <c r="E55" s="0" t="n">
        <f aca="false">E54/$T54</f>
        <v>0.0387439702583956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2026-04-17T12:06:37Z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